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775" windowHeight="8445" activeTab="0"/>
  </bookViews>
  <sheets>
    <sheet name="Misura tempo S-P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Scott Sinex</author>
  </authors>
  <commentList>
    <comment ref="D28" authorId="0">
      <text>
        <r>
          <rPr>
            <sz val="11"/>
            <color indexed="17"/>
            <rFont val="Comic Sans MS"/>
            <family val="4"/>
          </rPr>
          <t xml:space="preserve">In questo momento i marcatori sono nascosti sul grafico, perciò agisci sui cursori per renderli visibili.
</t>
        </r>
      </text>
    </comment>
    <comment ref="K4" authorId="0">
      <text>
        <r>
          <rPr>
            <sz val="11"/>
            <color indexed="17"/>
            <rFont val="Comic Sans MS"/>
            <family val="4"/>
          </rPr>
          <t xml:space="preserve">Qui apparirà un numero (positivo) quando i marcatori temporali sono usati correttamente.
</t>
        </r>
      </text>
    </comment>
  </commentList>
</comments>
</file>

<file path=xl/sharedStrings.xml><?xml version="1.0" encoding="utf-8"?>
<sst xmlns="http://schemas.openxmlformats.org/spreadsheetml/2006/main" count="29" uniqueCount="27">
  <si>
    <r>
      <t>D</t>
    </r>
    <r>
      <rPr>
        <sz val="10"/>
        <rFont val="Comic Sans MS"/>
        <family val="4"/>
      </rPr>
      <t>T =</t>
    </r>
  </si>
  <si>
    <t>time</t>
  </si>
  <si>
    <t>ampl</t>
  </si>
  <si>
    <t>increase to introduce the s-wave</t>
  </si>
  <si>
    <t>p-wave starts here</t>
  </si>
  <si>
    <t>A constant is added to the time to cause the shift</t>
  </si>
  <si>
    <t xml:space="preserve">p-wave </t>
  </si>
  <si>
    <t>add k</t>
  </si>
  <si>
    <t>s-wave</t>
  </si>
  <si>
    <t>add 2k</t>
  </si>
  <si>
    <t>with increasing distance:</t>
  </si>
  <si>
    <t xml:space="preserve">     This is a decaying sine wave!!!</t>
  </si>
  <si>
    <t>This is a simulated seismogram!!!!!!</t>
  </si>
  <si>
    <t xml:space="preserve"> </t>
  </si>
  <si>
    <t>Tempo di arrivo sul sismogramma</t>
  </si>
  <si>
    <t>terremoto</t>
  </si>
  <si>
    <t>L'onda P arriva</t>
  </si>
  <si>
    <t xml:space="preserve">   Distanza dal</t>
  </si>
  <si>
    <t>Marcatori</t>
  </si>
  <si>
    <t>temporali</t>
  </si>
  <si>
    <t>L'onda S arriva</t>
  </si>
  <si>
    <t>tra le onde P ed S</t>
  </si>
  <si>
    <t xml:space="preserve">   Differenza nel tempo di arrivo</t>
  </si>
  <si>
    <t>secondi</t>
  </si>
  <si>
    <t>km</t>
  </si>
  <si>
    <t>10*EXP(-B43/10)*SIN(B43)</t>
  </si>
  <si>
    <t>1000*EXP(-B78/10)*SIN(B78)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</si>
</sst>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6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sz val="10"/>
      <name val="Comic Sans MS"/>
      <family val="4"/>
    </font>
    <font>
      <b/>
      <sz val="10"/>
      <color indexed="53"/>
      <name val="Comic Sans MS"/>
      <family val="4"/>
    </font>
    <font>
      <b/>
      <sz val="10"/>
      <color indexed="17"/>
      <name val="Comic Sans MS"/>
      <family val="4"/>
    </font>
    <font>
      <sz val="10"/>
      <color indexed="53"/>
      <name val="Comic Sans MS"/>
      <family val="4"/>
    </font>
    <font>
      <sz val="10"/>
      <color indexed="17"/>
      <name val="Comic Sans MS"/>
      <family val="4"/>
    </font>
    <font>
      <sz val="10"/>
      <color indexed="12"/>
      <name val="Comic Sans MS"/>
      <family val="4"/>
    </font>
    <font>
      <sz val="11"/>
      <color indexed="17"/>
      <name val="Comic Sans MS"/>
      <family val="4"/>
    </font>
    <font>
      <sz val="10"/>
      <color indexed="9"/>
      <name val="Comic Sans MS"/>
      <family val="4"/>
    </font>
    <font>
      <u val="single"/>
      <sz val="10"/>
      <color indexed="12"/>
      <name val="Arial"/>
      <family val="0"/>
    </font>
    <font>
      <sz val="10"/>
      <color indexed="16"/>
      <name val="Comic Sans MS"/>
      <family val="4"/>
    </font>
    <font>
      <sz val="10"/>
      <color indexed="60"/>
      <name val="Comic Sans MS"/>
      <family val="4"/>
    </font>
    <font>
      <sz val="8"/>
      <name val="Tahoma"/>
      <family val="2"/>
    </font>
    <font>
      <b/>
      <sz val="14"/>
      <color indexed="12"/>
      <name val="Comic Sans MS"/>
      <family val="4"/>
    </font>
    <font>
      <sz val="10"/>
      <color indexed="43"/>
      <name val="Comic Sans MS"/>
      <family val="4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7" fillId="0" borderId="0" xfId="36" applyFont="1" applyFill="1" applyAlignment="1" applyProtection="1">
      <alignment/>
      <protection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" fontId="3" fillId="33" borderId="0" xfId="0" applyNumberFormat="1" applyFont="1" applyFill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indexed="15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75"/>
          <c:y val="0.03525"/>
          <c:w val="0.923"/>
          <c:h val="0.861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'Misura tempo S-P'!$B$37:$B$127</c:f>
              <c:numCache/>
            </c:numRef>
          </c:xVal>
          <c:yVal>
            <c:numRef>
              <c:f>'Misura tempo S-P'!$C$37:$C$127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'Misura tempo S-P'!$E$11:$E$12</c:f>
              <c:numCache/>
            </c:numRef>
          </c:xVal>
          <c:yVal>
            <c:numRef>
              <c:f>'Misura tempo S-P'!$F$11:$F$12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'Misura tempo S-P'!$I$11:$I$12</c:f>
              <c:numCache/>
            </c:numRef>
          </c:xVal>
          <c:yVal>
            <c:numRef>
              <c:f>'Misura tempo S-P'!$J$11:$J$12</c:f>
              <c:numCache/>
            </c:numRef>
          </c:yVal>
          <c:smooth val="0"/>
        </c:ser>
        <c:axId val="32972816"/>
        <c:axId val="28319889"/>
      </c:scatterChart>
      <c:valAx>
        <c:axId val="329728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(sec)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28319889"/>
        <c:crosses val="autoZero"/>
        <c:crossBetween val="midCat"/>
        <c:dispUnits/>
      </c:valAx>
      <c:valAx>
        <c:axId val="28319889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Ampiezza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72816"/>
        <c:crosses val="autoZero"/>
        <c:crossBetween val="midCat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</xdr:row>
      <xdr:rowOff>19050</xdr:rowOff>
    </xdr:from>
    <xdr:to>
      <xdr:col>12</xdr:col>
      <xdr:colOff>552450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809750" y="1476375"/>
        <a:ext cx="5895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25</xdr:row>
      <xdr:rowOff>76200</xdr:rowOff>
    </xdr:from>
    <xdr:to>
      <xdr:col>5</xdr:col>
      <xdr:colOff>9525</xdr:colOff>
      <xdr:row>27</xdr:row>
      <xdr:rowOff>95250</xdr:rowOff>
    </xdr:to>
    <xdr:sp>
      <xdr:nvSpPr>
        <xdr:cNvPr id="2" name="Line 9"/>
        <xdr:cNvSpPr>
          <a:spLocks/>
        </xdr:cNvSpPr>
      </xdr:nvSpPr>
      <xdr:spPr>
        <a:xfrm>
          <a:off x="2895600" y="5162550"/>
          <a:ext cx="0" cy="40005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85725</xdr:rowOff>
    </xdr:from>
    <xdr:to>
      <xdr:col>9</xdr:col>
      <xdr:colOff>0</xdr:colOff>
      <xdr:row>27</xdr:row>
      <xdr:rowOff>104775</xdr:rowOff>
    </xdr:to>
    <xdr:sp>
      <xdr:nvSpPr>
        <xdr:cNvPr id="3" name="Line 10"/>
        <xdr:cNvSpPr>
          <a:spLocks/>
        </xdr:cNvSpPr>
      </xdr:nvSpPr>
      <xdr:spPr>
        <a:xfrm>
          <a:off x="5324475" y="5172075"/>
          <a:ext cx="0" cy="400050"/>
        </a:xfrm>
        <a:prstGeom prst="line">
          <a:avLst/>
        </a:prstGeom>
        <a:noFill/>
        <a:ln w="317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129"/>
  <sheetViews>
    <sheetView showGridLines="0" tabSelected="1" zoomScalePageLayoutView="0" workbookViewId="0" topLeftCell="A1">
      <selection activeCell="I34" sqref="I34"/>
    </sheetView>
  </sheetViews>
  <sheetFormatPr defaultColWidth="9.140625" defaultRowHeight="12.75"/>
  <cols>
    <col min="1" max="1" width="5.57421875" style="1" customWidth="1"/>
    <col min="2" max="2" width="10.28125" style="1" customWidth="1"/>
    <col min="3" max="12" width="9.140625" style="1" customWidth="1"/>
    <col min="13" max="13" width="14.57421875" style="1" customWidth="1"/>
    <col min="14" max="16384" width="9.140625" style="1" customWidth="1"/>
  </cols>
  <sheetData>
    <row r="1" spans="1:13" ht="2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>
      <c r="A2" s="2"/>
      <c r="B2" s="3" t="s">
        <v>14</v>
      </c>
      <c r="C2" s="2"/>
      <c r="D2" s="2"/>
      <c r="E2" s="2"/>
      <c r="F2" s="2"/>
      <c r="G2" s="4" t="s">
        <v>17</v>
      </c>
      <c r="H2" s="2"/>
      <c r="I2" s="2"/>
      <c r="J2" s="2"/>
      <c r="K2" s="5" t="s">
        <v>22</v>
      </c>
      <c r="L2" s="2"/>
      <c r="M2" s="2"/>
    </row>
    <row r="3" spans="1:13" ht="15">
      <c r="A3" s="2"/>
      <c r="B3" s="2"/>
      <c r="C3" s="2"/>
      <c r="D3" s="2"/>
      <c r="E3" s="2"/>
      <c r="F3" s="2"/>
      <c r="G3" s="6" t="s">
        <v>15</v>
      </c>
      <c r="H3" s="2"/>
      <c r="I3" s="2"/>
      <c r="J3" s="2"/>
      <c r="K3" s="5" t="s">
        <v>21</v>
      </c>
      <c r="L3" s="2"/>
      <c r="M3" s="2"/>
    </row>
    <row r="4" spans="1:13" ht="15">
      <c r="A4" s="2"/>
      <c r="B4" s="7" t="str">
        <f>IF(B24=TRUE,"Comincia con un sismogramma per un terremoto","")</f>
        <v>Comincia con un sismogramma per un terremoto</v>
      </c>
      <c r="C4" s="2"/>
      <c r="D4" s="2"/>
      <c r="E4" s="2"/>
      <c r="F4" s="2"/>
      <c r="G4" s="19">
        <f>143+(100*10/15)+$H$4*3.3</f>
        <v>209.66666666666669</v>
      </c>
      <c r="H4" s="20">
        <v>0</v>
      </c>
      <c r="I4" s="2"/>
      <c r="J4" s="8" t="s">
        <v>0</v>
      </c>
      <c r="K4" s="11">
        <f>IF(I27-E27&lt;0,"",I27-E27)</f>
        <v>35</v>
      </c>
      <c r="L4" s="2" t="s">
        <v>23</v>
      </c>
      <c r="M4" s="2"/>
    </row>
    <row r="5" spans="1:13" ht="15">
      <c r="A5" s="2"/>
      <c r="B5" s="7" t="str">
        <f>IF(B24=TRUE,"il cui epicentro è distante 67 km.","")</f>
        <v>il cui epicentro è distante 67 km.</v>
      </c>
      <c r="C5" s="2"/>
      <c r="D5" s="2"/>
      <c r="E5" s="2"/>
      <c r="F5" s="2"/>
      <c r="G5" s="9" t="s">
        <v>24</v>
      </c>
      <c r="H5" s="2"/>
      <c r="I5" s="2"/>
      <c r="J5" s="2"/>
      <c r="K5" s="2"/>
      <c r="L5" s="2"/>
      <c r="M5" s="2"/>
    </row>
    <row r="6" spans="1:13" ht="15">
      <c r="A6" s="2"/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customHeight="1">
      <c r="A7" s="2"/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9.5" customHeight="1">
      <c r="A8" s="2"/>
      <c r="B8" s="7" t="str">
        <f>IF(B24=TRUE,"Localizza il tempo","")</f>
        <v>Localizza il tempo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2"/>
      <c r="B9" s="7" t="str">
        <f>IF(B24=TRUE,"di arrivo dell'onda P","")</f>
        <v>di arrivo dell'onda P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6.5" customHeight="1">
      <c r="A10" s="2"/>
      <c r="B10" s="7" t="str">
        <f>IF(B24=TRUE,"e dell'onda S","")</f>
        <v>e dell'onda S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/>
      <c r="B11" s="7" t="str">
        <f>IF(B24=TRUE,"usando gli appositi","")</f>
        <v>usando gli appositi</v>
      </c>
      <c r="C11" s="2"/>
      <c r="D11" s="2"/>
      <c r="E11" s="2">
        <f>E27</f>
        <v>5</v>
      </c>
      <c r="F11" s="2">
        <v>12</v>
      </c>
      <c r="G11" s="2"/>
      <c r="H11" s="2"/>
      <c r="I11" s="2">
        <f>I27</f>
        <v>40</v>
      </c>
      <c r="J11" s="2">
        <v>12</v>
      </c>
      <c r="K11" s="2"/>
      <c r="L11" s="2"/>
      <c r="M11" s="2"/>
    </row>
    <row r="12" spans="1:13" ht="15">
      <c r="A12" s="2"/>
      <c r="B12" s="7" t="str">
        <f>IF(B24=TRUE,"marcatori mobili","")</f>
        <v>marcatori mobili</v>
      </c>
      <c r="C12" s="2"/>
      <c r="D12" s="2"/>
      <c r="E12" s="2">
        <f>E27</f>
        <v>5</v>
      </c>
      <c r="F12" s="2">
        <v>-12</v>
      </c>
      <c r="G12" s="2"/>
      <c r="H12" s="2"/>
      <c r="I12" s="2">
        <f>I27</f>
        <v>40</v>
      </c>
      <c r="J12" s="2">
        <v>-12</v>
      </c>
      <c r="K12" s="2"/>
      <c r="L12" s="2"/>
      <c r="M12" s="2"/>
    </row>
    <row r="13" spans="1:13" ht="15">
      <c r="A13" s="2"/>
      <c r="B13" s="7" t="str">
        <f>IF(B24=TRUE,"(vedi i due cursori","")</f>
        <v>(vedi i due cursori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/>
      <c r="B14" s="7" t="str">
        <f>IF(B24=TRUE,"sotto il grafico).","")</f>
        <v>sotto il grafico).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7.25" customHeight="1">
      <c r="A15" s="2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7" t="str">
        <f>IF(B24=TRUE,"Aumenta un po' la","")</f>
        <v>Aumenta un po' la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7" t="str">
        <f>IF(B24=TRUE,"distanza per vedere","")</f>
        <v>distanza per vedere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7" t="str">
        <f>IF(B24=TRUE,"come apparirebbe","")</f>
        <v>come apparirebbe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7" t="str">
        <f>IF(B24=TRUE,"il sismogramma a una","")</f>
        <v>il sismogramma a una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7" t="str">
        <f>IF(B24=TRUE,"distanza più grande","")</f>
        <v>distanza più grande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7" t="str">
        <f>IF(B24=TRUE,"dall'epicentro.","")</f>
        <v>dall'epicentro.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2.5" customHeight="1">
      <c r="A23" s="21"/>
      <c r="B23" s="21"/>
      <c r="C23" s="21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1"/>
      <c r="B24" s="22" t="b">
        <v>1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10" t="s">
        <v>18</v>
      </c>
      <c r="E27" s="23">
        <v>5</v>
      </c>
      <c r="F27" s="21"/>
      <c r="G27" s="21"/>
      <c r="H27" s="21"/>
      <c r="I27" s="24">
        <v>40</v>
      </c>
      <c r="J27" s="21"/>
      <c r="K27" s="21"/>
      <c r="L27" s="21"/>
      <c r="M27" s="2"/>
    </row>
    <row r="28" spans="1:13" ht="16.5">
      <c r="A28" s="2"/>
      <c r="B28" s="2"/>
      <c r="C28" s="2"/>
      <c r="D28" s="10" t="s">
        <v>19</v>
      </c>
      <c r="E28" s="2"/>
      <c r="F28" s="2"/>
      <c r="G28" s="12" t="s">
        <v>16</v>
      </c>
      <c r="H28" s="2"/>
      <c r="I28" s="2"/>
      <c r="J28" s="2"/>
      <c r="K28" s="13" t="s">
        <v>20</v>
      </c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9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5" t="s">
        <v>13</v>
      </c>
      <c r="L32" s="14"/>
      <c r="M32" s="14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5">
      <c r="A36" s="14"/>
      <c r="B36" s="18" t="s">
        <v>1</v>
      </c>
      <c r="C36" s="18" t="s">
        <v>2</v>
      </c>
      <c r="D36" s="14"/>
      <c r="E36" s="14"/>
      <c r="F36" s="14" t="s">
        <v>12</v>
      </c>
      <c r="G36" s="14"/>
      <c r="H36" s="14"/>
      <c r="I36" s="14"/>
      <c r="J36" s="14"/>
      <c r="K36" s="14"/>
      <c r="L36" s="14"/>
      <c r="M36" s="14"/>
    </row>
    <row r="37" spans="1:13" ht="15">
      <c r="A37" s="14"/>
      <c r="B37" s="16">
        <v>0</v>
      </c>
      <c r="C37" s="16"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>
      <c r="A38" s="14"/>
      <c r="B38" s="16">
        <v>1</v>
      </c>
      <c r="C38" s="16"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>
      <c r="A39" s="14"/>
      <c r="B39" s="16">
        <v>2</v>
      </c>
      <c r="C39" s="16">
        <v>0</v>
      </c>
      <c r="D39" s="14" t="s">
        <v>11</v>
      </c>
      <c r="E39" s="14"/>
      <c r="F39" s="14"/>
      <c r="G39" s="14"/>
      <c r="H39" s="14"/>
      <c r="I39" s="14"/>
      <c r="J39" s="14" t="s">
        <v>5</v>
      </c>
      <c r="K39" s="14"/>
      <c r="L39" s="14"/>
      <c r="M39" s="14"/>
    </row>
    <row r="40" spans="1:13" ht="15">
      <c r="A40" s="14"/>
      <c r="B40" s="16">
        <v>3</v>
      </c>
      <c r="C40" s="16">
        <v>0</v>
      </c>
      <c r="D40" s="14"/>
      <c r="E40" s="14"/>
      <c r="F40" s="14"/>
      <c r="G40" s="14"/>
      <c r="H40" s="14"/>
      <c r="I40" s="14"/>
      <c r="J40" s="14" t="s">
        <v>10</v>
      </c>
      <c r="K40" s="14"/>
      <c r="L40" s="14"/>
      <c r="M40" s="14"/>
    </row>
    <row r="41" spans="1:13" ht="15">
      <c r="A41" s="14"/>
      <c r="B41" s="16">
        <v>4</v>
      </c>
      <c r="C41" s="16">
        <v>0</v>
      </c>
      <c r="D41" s="14"/>
      <c r="E41" s="14"/>
      <c r="F41" s="14"/>
      <c r="G41" s="14"/>
      <c r="H41" s="14"/>
      <c r="I41" s="14"/>
      <c r="J41" s="14"/>
      <c r="K41" s="14"/>
      <c r="L41" s="14" t="s">
        <v>6</v>
      </c>
      <c r="M41" s="14" t="s">
        <v>7</v>
      </c>
    </row>
    <row r="42" spans="1:13" ht="15">
      <c r="A42" s="14"/>
      <c r="B42" s="16">
        <f>5+$H$4</f>
        <v>5</v>
      </c>
      <c r="C42" s="16">
        <v>0</v>
      </c>
      <c r="D42" s="14"/>
      <c r="E42" s="14"/>
      <c r="F42" s="14"/>
      <c r="G42" s="14"/>
      <c r="H42" s="14"/>
      <c r="I42" s="14"/>
      <c r="J42" s="14"/>
      <c r="K42" s="14"/>
      <c r="L42" s="14" t="s">
        <v>8</v>
      </c>
      <c r="M42" s="14" t="s">
        <v>9</v>
      </c>
    </row>
    <row r="43" spans="1:13" ht="15">
      <c r="A43" s="14"/>
      <c r="B43" s="16">
        <f>6+$H$4</f>
        <v>6</v>
      </c>
      <c r="C43" s="16">
        <f>10*EXP(-B43/10)*SIN(B43)</f>
        <v>-1.5334647671658</v>
      </c>
      <c r="D43" s="14"/>
      <c r="E43" s="14" t="s">
        <v>25</v>
      </c>
      <c r="F43" s="14"/>
      <c r="G43" s="14"/>
      <c r="H43" s="14" t="s">
        <v>4</v>
      </c>
      <c r="I43" s="14"/>
      <c r="J43" s="14"/>
      <c r="K43" s="14"/>
      <c r="L43" s="14"/>
      <c r="M43" s="14"/>
    </row>
    <row r="44" spans="1:13" ht="15">
      <c r="A44" s="14"/>
      <c r="B44" s="16">
        <f>7+$H$4</f>
        <v>7</v>
      </c>
      <c r="C44" s="16">
        <f aca="true" t="shared" si="0" ref="C44:C77">10*EXP(-B44/10)*SIN(B44)</f>
        <v>3.262498897116547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5">
      <c r="A45" s="14"/>
      <c r="B45" s="16">
        <f>8+$H$4</f>
        <v>8</v>
      </c>
      <c r="C45" s="16">
        <f t="shared" si="0"/>
        <v>4.445473160961147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5">
      <c r="A46" s="14"/>
      <c r="B46" s="16">
        <f>9+$H$4</f>
        <v>9</v>
      </c>
      <c r="C46" s="16">
        <f t="shared" si="0"/>
        <v>1.675548723175521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">
      <c r="A47" s="14"/>
      <c r="B47" s="16">
        <f>10+$H$4</f>
        <v>10</v>
      </c>
      <c r="C47" s="16">
        <f t="shared" si="0"/>
        <v>-2.0013418225944863</v>
      </c>
      <c r="D47" s="14"/>
      <c r="E47" s="14"/>
      <c r="F47" s="14"/>
      <c r="G47" s="14"/>
      <c r="H47" s="14"/>
      <c r="I47" s="14" t="s">
        <v>13</v>
      </c>
      <c r="J47" s="14"/>
      <c r="K47" s="14"/>
      <c r="L47" s="14"/>
      <c r="M47" s="14"/>
    </row>
    <row r="48" spans="1:13" ht="15">
      <c r="A48" s="14"/>
      <c r="B48" s="16">
        <f>11+$H$4</f>
        <v>11</v>
      </c>
      <c r="C48" s="16">
        <f t="shared" si="0"/>
        <v>-3.328678237419991</v>
      </c>
      <c r="D48" s="14"/>
      <c r="E48" s="14"/>
      <c r="F48" s="14"/>
      <c r="G48" s="14"/>
      <c r="H48" s="14"/>
      <c r="I48" s="14" t="s">
        <v>13</v>
      </c>
      <c r="J48" s="14"/>
      <c r="K48" s="14"/>
      <c r="L48" s="14"/>
      <c r="M48" s="14"/>
    </row>
    <row r="49" spans="1:13" ht="15">
      <c r="A49" s="14"/>
      <c r="B49" s="16">
        <f>12+$H$4</f>
        <v>12</v>
      </c>
      <c r="C49" s="16">
        <f t="shared" si="0"/>
        <v>-1.6161265717057167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5">
      <c r="A50" s="14"/>
      <c r="B50" s="16">
        <f>13+$H$4</f>
        <v>13</v>
      </c>
      <c r="C50" s="16">
        <f t="shared" si="0"/>
        <v>1.1450887592015244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5">
      <c r="A51" s="14"/>
      <c r="B51" s="16">
        <f>14+$H$4</f>
        <v>14</v>
      </c>
      <c r="C51" s="16">
        <f t="shared" si="0"/>
        <v>2.4428076637257807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">
      <c r="A52" s="14"/>
      <c r="B52" s="16">
        <f>15+$H$4</f>
        <v>15</v>
      </c>
      <c r="C52" s="16">
        <f t="shared" si="0"/>
        <v>1.45098829916834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5">
      <c r="A53" s="14"/>
      <c r="B53" s="16">
        <f>16+$H$4</f>
        <v>16</v>
      </c>
      <c r="C53" s="16">
        <f t="shared" si="0"/>
        <v>-0.5812667715378932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5">
      <c r="A54" s="14"/>
      <c r="B54" s="16">
        <f>17+$H$4</f>
        <v>17</v>
      </c>
      <c r="C54" s="16">
        <f t="shared" si="0"/>
        <v>-1.756314818320178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5">
      <c r="A55" s="14"/>
      <c r="B55" s="16">
        <f>18+$H$4</f>
        <v>18</v>
      </c>
      <c r="C55" s="16">
        <f t="shared" si="0"/>
        <v>-1.241373569599483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5">
      <c r="A56" s="14"/>
      <c r="B56" s="16">
        <f>19+$H$4</f>
        <v>19</v>
      </c>
      <c r="C56" s="16">
        <f t="shared" si="0"/>
        <v>0.22416927302229162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5">
      <c r="A57" s="14"/>
      <c r="B57" s="16">
        <f>20+$H$4</f>
        <v>20</v>
      </c>
      <c r="C57" s="16">
        <f t="shared" si="0"/>
        <v>1.2355370408674389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5">
      <c r="A58" s="14"/>
      <c r="B58" s="16">
        <f>21+$H$4</f>
        <v>21</v>
      </c>
      <c r="C58" s="16">
        <f t="shared" si="0"/>
        <v>1.0245386117284332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5">
      <c r="A59" s="14"/>
      <c r="B59" s="16">
        <f>22+$H$4</f>
        <v>22</v>
      </c>
      <c r="C59" s="16">
        <f t="shared" si="0"/>
        <v>-0.009807530250186177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5">
      <c r="A60" s="14"/>
      <c r="B60" s="16">
        <f>23+$H$4</f>
        <v>23</v>
      </c>
      <c r="C60" s="16">
        <f t="shared" si="0"/>
        <v>-0.8484107925724627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5">
      <c r="A61" s="14"/>
      <c r="B61" s="16">
        <f>24+$H$4</f>
        <v>24</v>
      </c>
      <c r="C61" s="16">
        <f t="shared" si="0"/>
        <v>-0.821522155444196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5">
      <c r="A62" s="14"/>
      <c r="B62" s="16">
        <f>25+$H$4</f>
        <v>25</v>
      </c>
      <c r="C62" s="16">
        <f t="shared" si="0"/>
        <v>-0.10864093224646297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5">
      <c r="A63" s="14"/>
      <c r="B63" s="16">
        <f>26+$H$4</f>
        <v>26</v>
      </c>
      <c r="C63" s="16">
        <f t="shared" si="0"/>
        <v>0.5663794471469802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5">
      <c r="A64" s="14"/>
      <c r="B64" s="16">
        <f>27+$H$4</f>
        <v>27</v>
      </c>
      <c r="C64" s="16">
        <f t="shared" si="0"/>
        <v>0.6427373464037882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5">
      <c r="A65" s="14"/>
      <c r="B65" s="16">
        <f>28+$H$4</f>
        <v>28</v>
      </c>
      <c r="C65" s="16">
        <f t="shared" si="0"/>
        <v>0.1647379795253556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5">
      <c r="A66" s="14"/>
      <c r="B66" s="16">
        <f>29+$H$4</f>
        <v>29</v>
      </c>
      <c r="C66" s="16">
        <f t="shared" si="0"/>
        <v>-0.3651527324793839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5">
      <c r="A67" s="14"/>
      <c r="B67" s="16">
        <f>30+$H$4</f>
        <v>30</v>
      </c>
      <c r="C67" s="16">
        <f t="shared" si="0"/>
        <v>-0.4919119801832296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5">
      <c r="A68" s="14"/>
      <c r="B68" s="16">
        <f>31+$H$4</f>
        <v>31</v>
      </c>
      <c r="C68" s="16">
        <f t="shared" si="0"/>
        <v>-0.1820157365877528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5">
      <c r="A69" s="14"/>
      <c r="B69" s="16">
        <f>32+$H$4</f>
        <v>32</v>
      </c>
      <c r="C69" s="16">
        <f t="shared" si="0"/>
        <v>0.22477366859887318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5">
      <c r="A70" s="14"/>
      <c r="B70" s="16">
        <f>33+$H$4</f>
        <v>33</v>
      </c>
      <c r="C70" s="16">
        <f t="shared" si="0"/>
        <v>0.3687991652282162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5">
      <c r="A71" s="14"/>
      <c r="B71" s="16">
        <f>34+$H$4</f>
        <v>34</v>
      </c>
      <c r="C71" s="16">
        <f t="shared" si="0"/>
        <v>0.17657219315218023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5">
      <c r="A72" s="14"/>
      <c r="B72" s="16">
        <f>35+$H$4</f>
        <v>35</v>
      </c>
      <c r="C72" s="16">
        <f t="shared" si="0"/>
        <v>-0.12929996245567152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5">
      <c r="A73" s="14"/>
      <c r="B73" s="16">
        <f>36+$H$4</f>
        <v>36</v>
      </c>
      <c r="C73" s="16">
        <f t="shared" si="0"/>
        <v>-0.2709909012057374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5">
      <c r="A74" s="14"/>
      <c r="B74" s="16">
        <f>37+$H$4</f>
        <v>37</v>
      </c>
      <c r="C74" s="16">
        <f t="shared" si="0"/>
        <v>-0.15910532074724576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5">
      <c r="A75" s="14"/>
      <c r="B75" s="16">
        <f>38+$H$4</f>
        <v>38</v>
      </c>
      <c r="C75" s="16">
        <f t="shared" si="0"/>
        <v>0.06629993859643717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5">
      <c r="A76" s="14"/>
      <c r="B76" s="16">
        <f>39+$H$4</f>
        <v>39</v>
      </c>
      <c r="C76" s="16">
        <f t="shared" si="0"/>
        <v>0.19509060861037342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5">
      <c r="A77" s="14"/>
      <c r="B77" s="16">
        <f>40+$H$4*2</f>
        <v>40</v>
      </c>
      <c r="C77" s="16">
        <f t="shared" si="0"/>
        <v>0.13647223578583192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5">
      <c r="A78" s="14"/>
      <c r="B78" s="16">
        <f>41+$H$4*2</f>
        <v>41</v>
      </c>
      <c r="C78" s="16">
        <f aca="true" t="shared" si="1" ref="C78:C109">1000*EXP(-B78/10)*SIN(B78)</f>
        <v>-2.628802001461523</v>
      </c>
      <c r="D78" s="14"/>
      <c r="E78" s="14" t="s">
        <v>26</v>
      </c>
      <c r="F78" s="14"/>
      <c r="G78" s="14"/>
      <c r="H78" s="14"/>
      <c r="I78" s="14"/>
      <c r="J78" s="14"/>
      <c r="K78" s="14"/>
      <c r="L78" s="14"/>
      <c r="M78" s="14"/>
    </row>
    <row r="79" spans="1:13" ht="15">
      <c r="A79" s="14"/>
      <c r="B79" s="16">
        <f>42+$H$4*2</f>
        <v>42</v>
      </c>
      <c r="C79" s="16">
        <f t="shared" si="1"/>
        <v>-13.743769279392023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t="15">
      <c r="A80" s="14"/>
      <c r="B80" s="16">
        <f>43+$H$4*2</f>
        <v>43</v>
      </c>
      <c r="C80" s="16">
        <f t="shared" si="1"/>
        <v>-11.28598468021438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ht="15">
      <c r="A81" s="14"/>
      <c r="B81" s="16">
        <f>44+$H$4*2</f>
        <v>44</v>
      </c>
      <c r="C81" s="16">
        <f t="shared" si="1"/>
        <v>0.21733255145782304</v>
      </c>
      <c r="D81" s="14"/>
      <c r="E81" s="14"/>
      <c r="F81" s="14" t="s">
        <v>3</v>
      </c>
      <c r="G81" s="14"/>
      <c r="H81" s="14"/>
      <c r="I81" s="14"/>
      <c r="J81" s="14"/>
      <c r="K81" s="14"/>
      <c r="L81" s="14"/>
      <c r="M81" s="14"/>
    </row>
    <row r="82" spans="1:13" ht="15">
      <c r="A82" s="14"/>
      <c r="B82" s="16">
        <f>45+$H$4*2</f>
        <v>45</v>
      </c>
      <c r="C82" s="16">
        <f t="shared" si="1"/>
        <v>9.452684308427699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15">
      <c r="A83" s="14"/>
      <c r="B83" s="16">
        <f>46+$H$4*2</f>
        <v>46</v>
      </c>
      <c r="C83" s="16">
        <f t="shared" si="1"/>
        <v>9.064628346990359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ht="15">
      <c r="A84" s="14"/>
      <c r="B84" s="16">
        <f>47+$H$4*2</f>
        <v>47</v>
      </c>
      <c r="C84" s="16">
        <f t="shared" si="1"/>
        <v>1.1239317936896822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15">
      <c r="A85" s="14"/>
      <c r="B85" s="16">
        <f>48+$H$4*2</f>
        <v>48</v>
      </c>
      <c r="C85" s="16">
        <f t="shared" si="1"/>
        <v>-6.32254153192433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15">
      <c r="A86" s="14"/>
      <c r="B86" s="16">
        <f>49+$H$4*2</f>
        <v>49</v>
      </c>
      <c r="C86" s="16">
        <f t="shared" si="1"/>
        <v>-7.102198357887862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15">
      <c r="A87" s="14"/>
      <c r="B87" s="16">
        <f>50+$H$4*2</f>
        <v>50</v>
      </c>
      <c r="C87" s="16">
        <f t="shared" si="1"/>
        <v>-1.7678678581498752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5">
      <c r="A88" s="14"/>
      <c r="B88" s="16">
        <f>51+$H$4*2</f>
        <v>51</v>
      </c>
      <c r="C88" s="16">
        <f t="shared" si="1"/>
        <v>4.086217425931472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15">
      <c r="A89" s="14"/>
      <c r="B89" s="16">
        <f>52+$H$4*2</f>
        <v>52</v>
      </c>
      <c r="C89" s="16">
        <f t="shared" si="1"/>
        <v>5.442794670791415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15">
      <c r="A90" s="14"/>
      <c r="B90" s="16">
        <f>53+$H$4*2</f>
        <v>53</v>
      </c>
      <c r="C90" s="16">
        <f t="shared" si="1"/>
        <v>1.976297567240156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15">
      <c r="A91" s="14"/>
      <c r="B91" s="16">
        <f>54+$H$4*2</f>
        <v>54</v>
      </c>
      <c r="C91" s="16">
        <f t="shared" si="1"/>
        <v>-2.5238159689838677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15">
      <c r="A92" s="14"/>
      <c r="B92" s="16">
        <f>55+$H$4*2</f>
        <v>55</v>
      </c>
      <c r="C92" s="16">
        <f t="shared" si="1"/>
        <v>-4.085770887938699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15">
      <c r="A93" s="14"/>
      <c r="B93" s="16">
        <f>56+$H$4*2</f>
        <v>56</v>
      </c>
      <c r="C93" s="16">
        <f t="shared" si="1"/>
        <v>-1.9286245269125053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ht="15">
      <c r="A94" s="14"/>
      <c r="B94" s="16">
        <f>57+$H$4*2</f>
        <v>57</v>
      </c>
      <c r="C94" s="16">
        <f t="shared" si="1"/>
        <v>1.459392204825634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5">
      <c r="A95" s="14"/>
      <c r="B95" s="16">
        <f>58+$H$4*2</f>
        <v>58</v>
      </c>
      <c r="C95" s="16">
        <f t="shared" si="1"/>
        <v>3.005976297262192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15">
      <c r="A96" s="14"/>
      <c r="B96" s="16">
        <f>59+$H$4*2</f>
        <v>59</v>
      </c>
      <c r="C96" s="16">
        <f t="shared" si="1"/>
        <v>1.7443086345702077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15">
      <c r="A97" s="14"/>
      <c r="B97" s="16">
        <f>60+$H$4*2</f>
        <v>60</v>
      </c>
      <c r="C97" s="16">
        <f t="shared" si="1"/>
        <v>-0.7555499905281443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ht="15">
      <c r="A98" s="14"/>
      <c r="B98" s="16">
        <f>61+$H$4*2</f>
        <v>61</v>
      </c>
      <c r="C98" s="16">
        <f t="shared" si="1"/>
        <v>-2.166874359573434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ht="15">
      <c r="A99" s="14"/>
      <c r="B99" s="16">
        <f>62+$H$4*2</f>
        <v>62</v>
      </c>
      <c r="C99" s="16">
        <f t="shared" si="1"/>
        <v>-1.5001159515383562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ht="15">
      <c r="A100" s="14"/>
      <c r="B100" s="16">
        <f>63+$H$4*2</f>
        <v>63</v>
      </c>
      <c r="C100" s="16">
        <f t="shared" si="1"/>
        <v>0.30731607192906246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15">
      <c r="A101" s="14"/>
      <c r="B101" s="16">
        <f>64+$H$4*2</f>
        <v>64</v>
      </c>
      <c r="C101" s="16">
        <f t="shared" si="1"/>
        <v>1.5286759552752769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t="15">
      <c r="A102" s="14"/>
      <c r="B102" s="16">
        <f>65+$H$4*2</f>
        <v>65</v>
      </c>
      <c r="C102" s="16">
        <f t="shared" si="1"/>
        <v>1.243086642623313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t="15">
      <c r="A103" s="14"/>
      <c r="B103" s="16">
        <f>66+$H$4*2</f>
        <v>66</v>
      </c>
      <c r="C103" s="16">
        <f t="shared" si="1"/>
        <v>-0.036119341294215575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5">
      <c r="A104" s="14"/>
      <c r="B104" s="16">
        <f>67+$H$4*2</f>
        <v>67</v>
      </c>
      <c r="C104" s="16">
        <f t="shared" si="1"/>
        <v>-1.0530697250956904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15">
      <c r="A105" s="14"/>
      <c r="B105" s="16">
        <f>68+$H$4*2</f>
        <v>68</v>
      </c>
      <c r="C105" s="16">
        <f t="shared" si="1"/>
        <v>-1.0000895353136567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t="15">
      <c r="A106" s="14"/>
      <c r="B106" s="16">
        <f>69+$H$4*2</f>
        <v>69</v>
      </c>
      <c r="C106" s="16">
        <f t="shared" si="1"/>
        <v>-0.11567846280674271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ht="15">
      <c r="A107" s="14"/>
      <c r="B107" s="16">
        <f>70+$H$4*2</f>
        <v>70</v>
      </c>
      <c r="C107" s="16">
        <f t="shared" si="1"/>
        <v>0.7056969558233321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15">
      <c r="A108" s="14"/>
      <c r="B108" s="16">
        <f>71+$H$4*2</f>
        <v>71</v>
      </c>
      <c r="C108" s="16">
        <f t="shared" si="1"/>
        <v>0.7847198766951323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15">
      <c r="A109" s="14"/>
      <c r="B109" s="16">
        <f>72+$H$4*2</f>
        <v>72</v>
      </c>
      <c r="C109" s="16">
        <f t="shared" si="1"/>
        <v>0.18950092047258194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ht="15">
      <c r="A110" s="14"/>
      <c r="B110" s="16">
        <f>73+$H$4*2</f>
        <v>73</v>
      </c>
      <c r="C110" s="16">
        <f aca="true" t="shared" si="2" ref="C110:C127">1000*EXP(-B110/10)*SIN(B110)</f>
        <v>-0.4571856988411931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ht="15">
      <c r="A111" s="14"/>
      <c r="B111" s="16">
        <f>74+$H$4*2</f>
        <v>74</v>
      </c>
      <c r="C111" s="16">
        <f t="shared" si="2"/>
        <v>-0.602173371827689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t="15">
      <c r="A112" s="14"/>
      <c r="B112" s="16">
        <f>75+$H$4*2</f>
        <v>75</v>
      </c>
      <c r="C112" s="16">
        <f t="shared" si="2"/>
        <v>-0.2144759615753217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ht="15">
      <c r="A113" s="14"/>
      <c r="B113" s="16">
        <f>76+$H$4*2</f>
        <v>76</v>
      </c>
      <c r="C113" s="16">
        <f t="shared" si="2"/>
        <v>0.2833093783673712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15">
      <c r="A114" s="14"/>
      <c r="B114" s="16">
        <f aca="true" t="shared" si="3" ref="B114:B127">B113+1</f>
        <v>77</v>
      </c>
      <c r="C114" s="16">
        <f t="shared" si="2"/>
        <v>0.4526098976486771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ht="15">
      <c r="A115" s="14"/>
      <c r="B115" s="16">
        <f t="shared" si="3"/>
        <v>78</v>
      </c>
      <c r="C115" s="16">
        <f t="shared" si="2"/>
        <v>0.21059495186011604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15">
      <c r="A116" s="14"/>
      <c r="B116" s="16">
        <f t="shared" si="3"/>
        <v>79</v>
      </c>
      <c r="C116" s="16">
        <f t="shared" si="2"/>
        <v>-0.16465190315935577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15">
      <c r="A117" s="14"/>
      <c r="B117" s="16">
        <f t="shared" si="3"/>
        <v>80</v>
      </c>
      <c r="C117" s="16">
        <f t="shared" si="2"/>
        <v>-0.3334124996876256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ht="15">
      <c r="A118" s="14"/>
      <c r="B118" s="16">
        <f t="shared" si="3"/>
        <v>81</v>
      </c>
      <c r="C118" s="16">
        <f t="shared" si="2"/>
        <v>-0.1911956588682939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ht="15">
      <c r="A119" s="14"/>
      <c r="B119" s="16">
        <f t="shared" si="3"/>
        <v>82</v>
      </c>
      <c r="C119" s="16">
        <f t="shared" si="2"/>
        <v>0.08602940331327436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15">
      <c r="A120" s="14"/>
      <c r="B120" s="16">
        <f t="shared" si="3"/>
        <v>83</v>
      </c>
      <c r="C120" s="16">
        <f t="shared" si="2"/>
        <v>0.24065486335671973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ht="15">
      <c r="A121" s="14"/>
      <c r="B121" s="16">
        <f t="shared" si="3"/>
        <v>84</v>
      </c>
      <c r="C121" s="16">
        <f t="shared" si="2"/>
        <v>0.16487054538871446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ht="15">
      <c r="A122" s="14"/>
      <c r="B122" s="16">
        <f t="shared" si="3"/>
        <v>85</v>
      </c>
      <c r="C122" s="16">
        <f t="shared" si="2"/>
        <v>-0.03582581921347706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ht="15">
      <c r="A123" s="14"/>
      <c r="B123" s="16">
        <f t="shared" si="3"/>
        <v>86</v>
      </c>
      <c r="C123" s="16">
        <f t="shared" si="2"/>
        <v>-0.17001405030471256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t="15">
      <c r="A124" s="14"/>
      <c r="B124" s="16">
        <f t="shared" si="3"/>
        <v>87</v>
      </c>
      <c r="C124" s="16">
        <f t="shared" si="2"/>
        <v>-0.1369031907992481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ht="15">
      <c r="A125" s="14"/>
      <c r="B125" s="16">
        <f t="shared" si="3"/>
        <v>88</v>
      </c>
      <c r="C125" s="16">
        <f t="shared" si="2"/>
        <v>0.005335695024205287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15">
      <c r="A126" s="14"/>
      <c r="B126" s="16">
        <f t="shared" si="3"/>
        <v>89</v>
      </c>
      <c r="C126" s="16">
        <f t="shared" si="2"/>
        <v>0.11730394295878191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ht="15">
      <c r="A127" s="14"/>
      <c r="B127" s="16">
        <f t="shared" si="3"/>
        <v>90</v>
      </c>
      <c r="C127" s="16">
        <f t="shared" si="2"/>
        <v>0.11032795310909002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</sheetData>
  <sheetProtection password="CF7F" sheet="1" objects="1" scenarios="1" selectLockedCells="1" selectUnlockedCells="1"/>
  <conditionalFormatting sqref="E27 I27">
    <cfRule type="cellIs" priority="1" dxfId="1" operator="equal" stopIfTrue="1">
      <formula>101</formula>
    </cfRule>
  </conditionalFormatting>
  <conditionalFormatting sqref="K4">
    <cfRule type="cellIs" priority="2" dxfId="0" operator="equal" stopIfTrue="1">
      <formula>0</formula>
    </cfRule>
  </conditionalFormatting>
  <hyperlinks>
    <hyperlink ref="K32" r:id="rId1" display="Sinex 2008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Pittsburgh Supercomputing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Pittsburgh Supercomputing Center</dc:creator>
  <cp:keywords/>
  <dc:description/>
  <cp:lastModifiedBy>uno</cp:lastModifiedBy>
  <cp:lastPrinted>2010-01-04T19:09:39Z</cp:lastPrinted>
  <dcterms:created xsi:type="dcterms:W3CDTF">2008-04-04T18:59:10Z</dcterms:created>
  <dcterms:modified xsi:type="dcterms:W3CDTF">2018-05-17T14:12:37Z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